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oana 2010" sheetId="1" r:id="rId1"/>
  </sheets>
  <definedNames>
    <definedName name="_xlnm.Print_Area" localSheetId="0">'Roana 2010'!$A$1:$Y$64</definedName>
  </definedNames>
  <calcPr fullCalcOnLoad="1"/>
</workbook>
</file>

<file path=xl/sharedStrings.xml><?xml version="1.0" encoding="utf-8"?>
<sst xmlns="http://schemas.openxmlformats.org/spreadsheetml/2006/main" count="66" uniqueCount="64">
  <si>
    <t>VENDITA</t>
  </si>
  <si>
    <t>kWh</t>
  </si>
  <si>
    <t>Produzione 1° anno</t>
  </si>
  <si>
    <t>Investimento</t>
  </si>
  <si>
    <t>Potenza installata</t>
  </si>
  <si>
    <t>kWp</t>
  </si>
  <si>
    <t>Prezzo/watt</t>
  </si>
  <si>
    <t>Inc.GSE tot.int.</t>
  </si>
  <si>
    <t>€/kWh</t>
  </si>
  <si>
    <t>tariffa 2010</t>
  </si>
  <si>
    <t>Ritenuta d'acconto sull'incentivo</t>
  </si>
  <si>
    <t>ammort.</t>
  </si>
  <si>
    <t>Tariffa vendita 1</t>
  </si>
  <si>
    <t>tariffa 2009</t>
  </si>
  <si>
    <t>imposta</t>
  </si>
  <si>
    <t>Anno</t>
  </si>
  <si>
    <t>energia prodotta ven. kWh</t>
  </si>
  <si>
    <t>Incentivo GSE lordo</t>
  </si>
  <si>
    <t>Incentivo GSE netto</t>
  </si>
  <si>
    <t>Ricavi da vendita</t>
  </si>
  <si>
    <t>Spese amministrative (0,5%)</t>
  </si>
  <si>
    <t>Ricavi netti</t>
  </si>
  <si>
    <t>Costo gestione e manuten.</t>
  </si>
  <si>
    <t>MON (EBIT)</t>
  </si>
  <si>
    <t>UTILE NETTO</t>
  </si>
  <si>
    <t>UTILE CUMULATO</t>
  </si>
  <si>
    <t>TOT</t>
  </si>
  <si>
    <t>Anticipo</t>
  </si>
  <si>
    <t>FLUSSI CUMULATI</t>
  </si>
  <si>
    <t>NPV</t>
  </si>
  <si>
    <t>costo capitale proprio (IPOTESI)</t>
  </si>
  <si>
    <t>Flussi di cassa attualizzati</t>
  </si>
  <si>
    <t>CALCOLO LEASING</t>
  </si>
  <si>
    <t>Tasso d'interesse annuo</t>
  </si>
  <si>
    <t>Periodi</t>
  </si>
  <si>
    <t>Rata fissa annuale</t>
  </si>
  <si>
    <t>Anni</t>
  </si>
  <si>
    <t>Debito residuo inizio anno</t>
  </si>
  <si>
    <t>Interessi pagati</t>
  </si>
  <si>
    <t>rata capitale pagata</t>
  </si>
  <si>
    <t>totale rata anno costante</t>
  </si>
  <si>
    <t>debito residuo fine anno</t>
  </si>
  <si>
    <t>Tot interessi pagati</t>
  </si>
  <si>
    <t>tasso compl.</t>
  </si>
  <si>
    <t>Tot costo del leasing</t>
  </si>
  <si>
    <t>Equity</t>
  </si>
  <si>
    <t>Leasing</t>
  </si>
  <si>
    <t>con iva</t>
  </si>
  <si>
    <t>Tariffa di vendita  €/kWh</t>
  </si>
  <si>
    <t>impianto a terra</t>
  </si>
  <si>
    <t>IEPM Roana</t>
  </si>
  <si>
    <t>BUSINESS PLAN CONTRATTUALE</t>
  </si>
  <si>
    <t>tasso IRS rilevato al giorno del collaudo 3,99 + 1,70 (spread)</t>
  </si>
  <si>
    <t>3.148.000,00+17.611,00 (imposta d'atto)*10%=3.482.172,10</t>
  </si>
  <si>
    <t>€ 31.656,11    riscatto finale impianto</t>
  </si>
  <si>
    <r>
      <t>Il piano di ammortamento della banca prevede una rata semestrale di € 150.126,69 semestrale + IVA per complessive</t>
    </r>
    <r>
      <rPr>
        <b/>
        <sz val="12"/>
        <color indexed="8"/>
        <rFont val="Calibri"/>
        <family val="2"/>
      </rPr>
      <t xml:space="preserve"> € 330.278,70</t>
    </r>
    <r>
      <rPr>
        <sz val="12"/>
        <color indexed="8"/>
        <rFont val="Calibri"/>
        <family val="2"/>
      </rPr>
      <t xml:space="preserve"> </t>
    </r>
  </si>
  <si>
    <t>tariffa 2014</t>
  </si>
  <si>
    <t>IPOTESI DI ALLUNGAMENTO DEL PERIODO A 20 ANNI</t>
  </si>
  <si>
    <r>
      <t>L</t>
    </r>
    <r>
      <rPr>
        <sz val="11"/>
        <color indexed="10"/>
        <rFont val="Calibri"/>
        <family val="2"/>
      </rPr>
      <t xml:space="preserve">a rata semestrale  IVA sclusa,dopo  il riscatto della rete è di € 148.881,28 per 29 rate dal ottobre 2014. </t>
    </r>
  </si>
  <si>
    <t>tariffa 2015</t>
  </si>
  <si>
    <t>Le rate sono IVA esclusa</t>
  </si>
  <si>
    <t>La rata Lessing annuale corretta dopo la cessione di rete è di € 297762,56+iva; il debito residuo è stato spalmato su 16 anni anziché 14</t>
  </si>
  <si>
    <t>per cui la nuova rata sarà di €260542,24 arrotondata in bilancio a € 260543,00+iva=286.597,30</t>
  </si>
  <si>
    <r>
      <t xml:space="preserve">Rata leasing </t>
    </r>
    <r>
      <rPr>
        <sz val="14"/>
        <color indexed="10"/>
        <rFont val="Calibri"/>
        <family val="2"/>
      </rPr>
      <t>senza iva 10%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</si>
</sst>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0.0000"/>
    <numFmt numFmtId="174" formatCode="&quot;€&quot;\ #,##0.0000;[Red]\-&quot;€&quot;\ #,##0.0000"/>
    <numFmt numFmtId="175" formatCode="_-* #,##0.000_-;\-* #,##0.00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[$-410]dddd\ d\ mmmm\ yyyy"/>
    <numFmt numFmtId="180" formatCode="0.000"/>
    <numFmt numFmtId="181" formatCode="0.0"/>
    <numFmt numFmtId="182" formatCode="#,##0.00\ &quot;€&quot;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Times"/>
      <family val="0"/>
    </font>
    <font>
      <b/>
      <sz val="14"/>
      <color rgb="FFFF0000"/>
      <name val="Calibri"/>
      <family val="2"/>
    </font>
    <font>
      <b/>
      <sz val="10"/>
      <color rgb="FFFF0000"/>
      <name val="Times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0" borderId="0" xfId="0" applyFont="1" applyAlignment="1">
      <alignment/>
    </xf>
    <xf numFmtId="172" fontId="19" fillId="0" borderId="10" xfId="0" applyNumberFormat="1" applyFont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horizontal="right"/>
    </xf>
    <xf numFmtId="10" fontId="19" fillId="0" borderId="10" xfId="0" applyNumberFormat="1" applyFont="1" applyBorder="1" applyAlignment="1">
      <alignment/>
    </xf>
    <xf numFmtId="0" fontId="19" fillId="26" borderId="0" xfId="0" applyFont="1" applyFill="1" applyAlignment="1">
      <alignment/>
    </xf>
    <xf numFmtId="4" fontId="19" fillId="0" borderId="0" xfId="0" applyNumberFormat="1" applyFont="1" applyAlignment="1">
      <alignment/>
    </xf>
    <xf numFmtId="174" fontId="19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19" fillId="27" borderId="0" xfId="0" applyFont="1" applyFill="1" applyAlignment="1">
      <alignment/>
    </xf>
    <xf numFmtId="178" fontId="18" fillId="27" borderId="0" xfId="43" applyNumberFormat="1" applyFont="1" applyFill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right" vertical="center"/>
    </xf>
    <xf numFmtId="172" fontId="2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3" fontId="20" fillId="28" borderId="10" xfId="0" applyNumberFormat="1" applyFont="1" applyFill="1" applyBorder="1" applyAlignment="1">
      <alignment horizontal="right"/>
    </xf>
    <xf numFmtId="172" fontId="20" fillId="0" borderId="11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right"/>
    </xf>
    <xf numFmtId="2" fontId="22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4" fontId="23" fillId="0" borderId="12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173" fontId="20" fillId="29" borderId="10" xfId="0" applyNumberFormat="1" applyFont="1" applyFill="1" applyBorder="1" applyAlignment="1">
      <alignment/>
    </xf>
    <xf numFmtId="9" fontId="20" fillId="0" borderId="10" xfId="0" applyNumberFormat="1" applyFont="1" applyBorder="1" applyAlignment="1">
      <alignment vertical="center"/>
    </xf>
    <xf numFmtId="9" fontId="20" fillId="0" borderId="10" xfId="0" applyNumberFormat="1" applyFont="1" applyBorder="1" applyAlignment="1">
      <alignment/>
    </xf>
    <xf numFmtId="0" fontId="20" fillId="29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 vertical="center" textRotation="90"/>
    </xf>
    <xf numFmtId="172" fontId="20" fillId="3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172" fontId="20" fillId="0" borderId="0" xfId="0" applyNumberFormat="1" applyFont="1" applyFill="1" applyAlignment="1">
      <alignment/>
    </xf>
    <xf numFmtId="173" fontId="20" fillId="0" borderId="0" xfId="0" applyNumberFormat="1" applyFont="1" applyAlignment="1">
      <alignment/>
    </xf>
    <xf numFmtId="0" fontId="21" fillId="25" borderId="0" xfId="0" applyFont="1" applyFill="1" applyAlignment="1">
      <alignment vertical="center" textRotation="90"/>
    </xf>
    <xf numFmtId="0" fontId="21" fillId="25" borderId="0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5" borderId="15" xfId="0" applyFont="1" applyFill="1" applyBorder="1" applyAlignment="1">
      <alignment/>
    </xf>
    <xf numFmtId="172" fontId="20" fillId="25" borderId="0" xfId="0" applyNumberFormat="1" applyFont="1" applyFill="1" applyAlignment="1">
      <alignment/>
    </xf>
    <xf numFmtId="172" fontId="20" fillId="31" borderId="0" xfId="0" applyNumberFormat="1" applyFont="1" applyFill="1" applyAlignment="1">
      <alignment/>
    </xf>
    <xf numFmtId="172" fontId="20" fillId="32" borderId="0" xfId="0" applyNumberFormat="1" applyFont="1" applyFill="1" applyAlignment="1">
      <alignment/>
    </xf>
    <xf numFmtId="0" fontId="21" fillId="32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67" fontId="20" fillId="0" borderId="16" xfId="0" applyNumberFormat="1" applyFont="1" applyBorder="1" applyAlignment="1">
      <alignment/>
    </xf>
    <xf numFmtId="167" fontId="20" fillId="0" borderId="0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10" fontId="20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0" fontId="20" fillId="0" borderId="17" xfId="0" applyFont="1" applyBorder="1" applyAlignment="1">
      <alignment horizontal="center"/>
    </xf>
    <xf numFmtId="9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1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10" fontId="20" fillId="0" borderId="18" xfId="0" applyNumberFormat="1" applyFont="1" applyBorder="1" applyAlignment="1">
      <alignment horizontal="right"/>
    </xf>
    <xf numFmtId="9" fontId="20" fillId="0" borderId="0" xfId="0" applyNumberFormat="1" applyFont="1" applyBorder="1" applyAlignment="1">
      <alignment horizontal="right"/>
    </xf>
    <xf numFmtId="172" fontId="20" fillId="0" borderId="10" xfId="0" applyNumberFormat="1" applyFont="1" applyBorder="1" applyAlignment="1">
      <alignment/>
    </xf>
    <xf numFmtId="172" fontId="20" fillId="26" borderId="18" xfId="0" applyNumberFormat="1" applyFont="1" applyFill="1" applyBorder="1" applyAlignment="1">
      <alignment horizontal="right"/>
    </xf>
    <xf numFmtId="172" fontId="20" fillId="26" borderId="10" xfId="0" applyNumberFormat="1" applyFont="1" applyFill="1" applyBorder="1" applyAlignment="1">
      <alignment/>
    </xf>
    <xf numFmtId="172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0" fontId="20" fillId="26" borderId="10" xfId="0" applyNumberFormat="1" applyFont="1" applyFill="1" applyBorder="1" applyAlignment="1">
      <alignment horizontal="right"/>
    </xf>
    <xf numFmtId="0" fontId="20" fillId="27" borderId="10" xfId="0" applyFont="1" applyFill="1" applyBorder="1" applyAlignment="1">
      <alignment/>
    </xf>
    <xf numFmtId="167" fontId="20" fillId="26" borderId="10" xfId="0" applyNumberFormat="1" applyFont="1" applyFill="1" applyBorder="1" applyAlignment="1">
      <alignment horizontal="right"/>
    </xf>
    <xf numFmtId="0" fontId="20" fillId="0" borderId="19" xfId="0" applyFont="1" applyBorder="1" applyAlignment="1">
      <alignment horizontal="right"/>
    </xf>
    <xf numFmtId="9" fontId="20" fillId="0" borderId="13" xfId="0" applyNumberFormat="1" applyFont="1" applyBorder="1" applyAlignment="1">
      <alignment/>
    </xf>
    <xf numFmtId="2" fontId="22" fillId="0" borderId="12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72" fontId="20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19" fillId="0" borderId="0" xfId="0" applyFont="1" applyFill="1" applyAlignment="1">
      <alignment/>
    </xf>
    <xf numFmtId="173" fontId="20" fillId="33" borderId="0" xfId="0" applyNumberFormat="1" applyFont="1" applyFill="1" applyAlignment="1">
      <alignment/>
    </xf>
    <xf numFmtId="172" fontId="20" fillId="33" borderId="0" xfId="0" applyNumberFormat="1" applyFont="1" applyFill="1" applyAlignment="1">
      <alignment/>
    </xf>
    <xf numFmtId="0" fontId="20" fillId="28" borderId="0" xfId="0" applyFont="1" applyFill="1" applyBorder="1" applyAlignment="1">
      <alignment/>
    </xf>
    <xf numFmtId="172" fontId="20" fillId="27" borderId="0" xfId="0" applyNumberFormat="1" applyFont="1" applyFill="1" applyAlignment="1">
      <alignment/>
    </xf>
    <xf numFmtId="4" fontId="20" fillId="34" borderId="0" xfId="0" applyNumberFormat="1" applyFont="1" applyFill="1" applyAlignment="1">
      <alignment/>
    </xf>
    <xf numFmtId="0" fontId="20" fillId="27" borderId="0" xfId="0" applyFont="1" applyFill="1" applyAlignment="1">
      <alignment/>
    </xf>
    <xf numFmtId="172" fontId="20" fillId="34" borderId="0" xfId="0" applyNumberFormat="1" applyFont="1" applyFill="1" applyAlignment="1">
      <alignment/>
    </xf>
    <xf numFmtId="173" fontId="20" fillId="35" borderId="10" xfId="0" applyNumberFormat="1" applyFont="1" applyFill="1" applyBorder="1" applyAlignment="1">
      <alignment/>
    </xf>
    <xf numFmtId="0" fontId="20" fillId="31" borderId="0" xfId="0" applyFont="1" applyFill="1" applyBorder="1" applyAlignment="1">
      <alignment/>
    </xf>
    <xf numFmtId="0" fontId="20" fillId="31" borderId="10" xfId="0" applyFont="1" applyFill="1" applyBorder="1" applyAlignment="1">
      <alignment horizontal="center"/>
    </xf>
    <xf numFmtId="3" fontId="20" fillId="31" borderId="0" xfId="0" applyNumberFormat="1" applyFont="1" applyFill="1" applyAlignment="1">
      <alignment/>
    </xf>
    <xf numFmtId="0" fontId="20" fillId="31" borderId="0" xfId="0" applyFont="1" applyFill="1" applyAlignment="1">
      <alignment/>
    </xf>
    <xf numFmtId="173" fontId="20" fillId="31" borderId="0" xfId="0" applyNumberFormat="1" applyFont="1" applyFill="1" applyAlignment="1">
      <alignment/>
    </xf>
    <xf numFmtId="0" fontId="25" fillId="35" borderId="20" xfId="0" applyFont="1" applyFill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/>
    </xf>
    <xf numFmtId="0" fontId="21" fillId="30" borderId="20" xfId="0" applyFont="1" applyFill="1" applyBorder="1" applyAlignment="1">
      <alignment horizontal="center" vertical="center" wrapText="1"/>
    </xf>
    <xf numFmtId="0" fontId="21" fillId="30" borderId="14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172" fontId="20" fillId="0" borderId="10" xfId="0" applyNumberFormat="1" applyFont="1" applyBorder="1" applyAlignment="1">
      <alignment horizontal="center" wrapText="1"/>
    </xf>
    <xf numFmtId="172" fontId="20" fillId="26" borderId="10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horizontal="left"/>
    </xf>
    <xf numFmtId="172" fontId="20" fillId="0" borderId="10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67" fontId="20" fillId="0" borderId="10" xfId="0" applyNumberFormat="1" applyFont="1" applyBorder="1" applyAlignment="1">
      <alignment horizontal="center"/>
    </xf>
    <xf numFmtId="0" fontId="21" fillId="8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172" fontId="20" fillId="32" borderId="10" xfId="0" applyNumberFormat="1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39" fontId="26" fillId="31" borderId="0" xfId="0" applyNumberFormat="1" applyFont="1" applyFill="1" applyAlignment="1" applyProtection="1">
      <alignment horizontal="right"/>
      <protection locked="0"/>
    </xf>
    <xf numFmtId="1" fontId="20" fillId="0" borderId="0" xfId="43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99"/>
  <sheetViews>
    <sheetView tabSelected="1" zoomScale="75" zoomScaleNormal="75" zoomScalePageLayoutView="0" workbookViewId="0" topLeftCell="A1">
      <selection activeCell="B1" sqref="B1:C1"/>
    </sheetView>
  </sheetViews>
  <sheetFormatPr defaultColWidth="8.7109375" defaultRowHeight="15"/>
  <cols>
    <col min="1" max="1" width="1.7109375" style="0" customWidth="1"/>
    <col min="2" max="2" width="8.7109375" style="0" customWidth="1"/>
    <col min="3" max="3" width="18.7109375" style="0" customWidth="1"/>
    <col min="4" max="4" width="18.00390625" style="0" customWidth="1"/>
    <col min="5" max="6" width="17.7109375" style="0" customWidth="1"/>
    <col min="7" max="12" width="17.140625" style="0" customWidth="1"/>
    <col min="13" max="13" width="17.421875" style="0" customWidth="1"/>
    <col min="14" max="14" width="17.7109375" style="0" customWidth="1"/>
    <col min="15" max="15" width="17.140625" style="0" customWidth="1"/>
    <col min="16" max="16" width="17.421875" style="0" customWidth="1"/>
    <col min="17" max="18" width="17.140625" style="0" customWidth="1"/>
    <col min="19" max="20" width="17.7109375" style="0" customWidth="1"/>
    <col min="21" max="21" width="18.421875" style="0" customWidth="1"/>
    <col min="22" max="22" width="19.28125" style="0" customWidth="1"/>
    <col min="23" max="24" width="19.421875" style="0" customWidth="1"/>
    <col min="25" max="25" width="17.421875" style="0" customWidth="1"/>
  </cols>
  <sheetData>
    <row r="1" spans="1:24" ht="37.5" customHeight="1">
      <c r="A1" s="14"/>
      <c r="B1" s="100" t="s">
        <v>51</v>
      </c>
      <c r="C1" s="101"/>
      <c r="D1" s="102" t="s">
        <v>49</v>
      </c>
      <c r="E1" s="103"/>
      <c r="F1" s="103"/>
      <c r="G1" s="103"/>
      <c r="H1" s="103"/>
      <c r="I1" s="14"/>
      <c r="J1" s="15"/>
      <c r="K1" s="97" t="s">
        <v>50</v>
      </c>
      <c r="L1" s="98"/>
      <c r="M1" s="99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22.5" customHeight="1">
      <c r="A2" s="14"/>
      <c r="B2" s="14"/>
      <c r="C2" s="14"/>
      <c r="D2" s="14"/>
      <c r="E2" s="14"/>
      <c r="F2" s="14"/>
      <c r="G2" s="89" t="s">
        <v>57</v>
      </c>
      <c r="H2" s="89"/>
      <c r="I2" s="89"/>
      <c r="J2" s="89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8.75">
      <c r="A3" s="14"/>
      <c r="B3" s="104" t="s">
        <v>0</v>
      </c>
      <c r="C3" s="104"/>
      <c r="D3" s="104"/>
      <c r="E3" s="104"/>
      <c r="F3" s="16"/>
      <c r="G3" s="14"/>
      <c r="H3" s="14"/>
      <c r="I3" s="16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8.75">
      <c r="A4" s="14"/>
      <c r="B4" s="111" t="s">
        <v>2</v>
      </c>
      <c r="C4" s="115"/>
      <c r="D4" s="17" t="s">
        <v>1</v>
      </c>
      <c r="E4" s="18">
        <v>1290000</v>
      </c>
      <c r="F4" s="19"/>
      <c r="G4" s="109" t="s">
        <v>3</v>
      </c>
      <c r="H4" s="109"/>
      <c r="I4" s="114">
        <v>3482172.1</v>
      </c>
      <c r="J4" s="114"/>
      <c r="K4" s="16"/>
      <c r="L4" s="16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8.75">
      <c r="A5" s="14"/>
      <c r="B5" s="111" t="s">
        <v>4</v>
      </c>
      <c r="C5" s="115"/>
      <c r="D5" s="17" t="s">
        <v>5</v>
      </c>
      <c r="E5" s="20">
        <v>999</v>
      </c>
      <c r="F5" s="21"/>
      <c r="G5" s="109" t="s">
        <v>6</v>
      </c>
      <c r="H5" s="109"/>
      <c r="I5" s="116"/>
      <c r="J5" s="116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8.75">
      <c r="A6" s="14"/>
      <c r="B6" s="22"/>
      <c r="C6" s="22"/>
      <c r="D6" s="23"/>
      <c r="E6" s="75"/>
      <c r="F6" s="76"/>
      <c r="G6" s="60"/>
      <c r="H6" s="60"/>
      <c r="I6" s="68"/>
      <c r="J6" s="68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8.75">
      <c r="A7" s="14"/>
      <c r="B7" s="110"/>
      <c r="C7" s="110"/>
      <c r="D7" s="23"/>
      <c r="E7" s="24"/>
      <c r="F7" s="25"/>
      <c r="G7" s="14"/>
      <c r="H7" s="26"/>
      <c r="I7" s="26"/>
      <c r="J7" s="26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8.75">
      <c r="A8" s="14"/>
      <c r="B8" s="14"/>
      <c r="C8" s="14"/>
      <c r="D8" s="14"/>
      <c r="E8" s="91">
        <f>E9*0.863</f>
        <v>0.298598</v>
      </c>
      <c r="F8" s="14" t="s">
        <v>59</v>
      </c>
      <c r="G8" s="14"/>
      <c r="H8" s="14"/>
      <c r="I8" s="27"/>
      <c r="J8" s="2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8.75">
      <c r="A9" s="14"/>
      <c r="B9" s="111" t="s">
        <v>7</v>
      </c>
      <c r="C9" s="112"/>
      <c r="D9" s="17" t="s">
        <v>8</v>
      </c>
      <c r="E9" s="29">
        <v>0.346</v>
      </c>
      <c r="F9" s="14" t="s">
        <v>9</v>
      </c>
      <c r="G9" s="113" t="s">
        <v>10</v>
      </c>
      <c r="H9" s="113"/>
      <c r="I9" s="105">
        <v>0.04</v>
      </c>
      <c r="J9" s="26"/>
      <c r="K9" s="30" t="s">
        <v>11</v>
      </c>
      <c r="L9" s="3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8.75">
      <c r="A10" s="14"/>
      <c r="B10" s="107" t="s">
        <v>12</v>
      </c>
      <c r="C10" s="108"/>
      <c r="D10" s="17" t="s">
        <v>8</v>
      </c>
      <c r="E10" s="32">
        <v>0.08</v>
      </c>
      <c r="F10" s="14" t="s">
        <v>13</v>
      </c>
      <c r="G10" s="113"/>
      <c r="H10" s="113"/>
      <c r="I10" s="106"/>
      <c r="J10" s="26"/>
      <c r="K10" s="33" t="s">
        <v>14</v>
      </c>
      <c r="L10" s="31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8.75">
      <c r="A11" s="14"/>
      <c r="B11" s="77"/>
      <c r="C11" s="77"/>
      <c r="D11" s="60"/>
      <c r="E11" s="86">
        <v>0.048</v>
      </c>
      <c r="F11" s="14" t="s">
        <v>56</v>
      </c>
      <c r="G11" s="78"/>
      <c r="H11" s="78"/>
      <c r="I11" s="79"/>
      <c r="J11" s="26"/>
      <c r="K11" s="28"/>
      <c r="L11" s="59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8.75">
      <c r="A12" s="14"/>
      <c r="B12" s="14"/>
      <c r="C12" s="14"/>
      <c r="D12" s="14"/>
      <c r="E12" s="14">
        <v>2011</v>
      </c>
      <c r="F12" s="14">
        <v>2012</v>
      </c>
      <c r="G12" s="14">
        <v>2013</v>
      </c>
      <c r="H12" s="14">
        <v>2014</v>
      </c>
      <c r="I12" s="131">
        <v>2015</v>
      </c>
      <c r="J12" s="92">
        <v>2016</v>
      </c>
      <c r="K12" s="14">
        <v>2017</v>
      </c>
      <c r="L12" s="14">
        <v>2018</v>
      </c>
      <c r="M12" s="14">
        <v>2019</v>
      </c>
      <c r="N12" s="28">
        <v>2020</v>
      </c>
      <c r="O12" s="14">
        <v>2021</v>
      </c>
      <c r="P12" s="14">
        <v>2022</v>
      </c>
      <c r="Q12" s="14">
        <v>2023</v>
      </c>
      <c r="R12" s="14">
        <v>2024</v>
      </c>
      <c r="S12" s="14">
        <v>2025</v>
      </c>
      <c r="T12" s="14">
        <v>2026</v>
      </c>
      <c r="U12" s="14">
        <v>2027</v>
      </c>
      <c r="V12" s="14">
        <v>2028</v>
      </c>
      <c r="W12" s="14">
        <v>2029</v>
      </c>
      <c r="X12" s="14">
        <v>2030</v>
      </c>
    </row>
    <row r="13" spans="1:24" ht="18.75">
      <c r="A13" s="14"/>
      <c r="B13" s="124" t="s">
        <v>15</v>
      </c>
      <c r="C13" s="125"/>
      <c r="D13" s="126"/>
      <c r="E13" s="34">
        <v>1</v>
      </c>
      <c r="F13" s="17">
        <v>2</v>
      </c>
      <c r="G13" s="17">
        <v>3</v>
      </c>
      <c r="H13" s="17">
        <v>4</v>
      </c>
      <c r="I13" s="17">
        <v>5</v>
      </c>
      <c r="J13" s="93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  <c r="Q13" s="17">
        <v>13</v>
      </c>
      <c r="R13" s="17">
        <v>14</v>
      </c>
      <c r="S13" s="17">
        <v>15</v>
      </c>
      <c r="T13" s="17">
        <v>16</v>
      </c>
      <c r="U13" s="17">
        <v>17</v>
      </c>
      <c r="V13" s="17">
        <v>18</v>
      </c>
      <c r="W13" s="17">
        <v>19</v>
      </c>
      <c r="X13" s="17">
        <v>20</v>
      </c>
    </row>
    <row r="14" spans="1:24" ht="18.75">
      <c r="A14" s="14"/>
      <c r="B14" s="28" t="s">
        <v>16</v>
      </c>
      <c r="C14" s="28"/>
      <c r="D14" s="35"/>
      <c r="E14" s="36">
        <f>E4</f>
        <v>1290000</v>
      </c>
      <c r="F14" s="36">
        <f aca="true" t="shared" si="0" ref="F14:X14">E14-0.01*$E$14</f>
        <v>1277100</v>
      </c>
      <c r="G14" s="36">
        <f t="shared" si="0"/>
        <v>1264200</v>
      </c>
      <c r="H14" s="36">
        <f t="shared" si="0"/>
        <v>1251300</v>
      </c>
      <c r="I14" s="36">
        <v>1200000</v>
      </c>
      <c r="J14" s="94">
        <f t="shared" si="0"/>
        <v>1187100</v>
      </c>
      <c r="K14" s="36">
        <f t="shared" si="0"/>
        <v>1174200</v>
      </c>
      <c r="L14" s="36">
        <f t="shared" si="0"/>
        <v>1161300</v>
      </c>
      <c r="M14" s="36">
        <f t="shared" si="0"/>
        <v>1148400</v>
      </c>
      <c r="N14" s="36">
        <f t="shared" si="0"/>
        <v>1135500</v>
      </c>
      <c r="O14" s="36">
        <f t="shared" si="0"/>
        <v>1122600</v>
      </c>
      <c r="P14" s="36">
        <f t="shared" si="0"/>
        <v>1109700</v>
      </c>
      <c r="Q14" s="36">
        <f t="shared" si="0"/>
        <v>1096800</v>
      </c>
      <c r="R14" s="36">
        <f t="shared" si="0"/>
        <v>1083900</v>
      </c>
      <c r="S14" s="36">
        <f t="shared" si="0"/>
        <v>1071000</v>
      </c>
      <c r="T14" s="36">
        <f t="shared" si="0"/>
        <v>1058100</v>
      </c>
      <c r="U14" s="36">
        <f t="shared" si="0"/>
        <v>1045200</v>
      </c>
      <c r="V14" s="36">
        <f t="shared" si="0"/>
        <v>1032300</v>
      </c>
      <c r="W14" s="36">
        <f t="shared" si="0"/>
        <v>1019400</v>
      </c>
      <c r="X14" s="36">
        <f t="shared" si="0"/>
        <v>1006500</v>
      </c>
    </row>
    <row r="15" spans="1:24" ht="18.75">
      <c r="A15" s="14"/>
      <c r="B15" s="28"/>
      <c r="C15" s="28"/>
      <c r="D15" s="35"/>
      <c r="E15" s="14"/>
      <c r="F15" s="14"/>
      <c r="G15" s="14"/>
      <c r="H15" s="14"/>
      <c r="I15" s="14"/>
      <c r="J15" s="95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8.75" customHeight="1">
      <c r="A16" s="37"/>
      <c r="B16" s="28" t="s">
        <v>17</v>
      </c>
      <c r="C16" s="28"/>
      <c r="D16" s="35"/>
      <c r="E16" s="38">
        <f>E14*$E$9</f>
        <v>446339.99999999994</v>
      </c>
      <c r="F16" s="16">
        <f>F14*$E$9</f>
        <v>441876.6</v>
      </c>
      <c r="G16" s="16">
        <f>G14*$E$9</f>
        <v>437413.19999999995</v>
      </c>
      <c r="H16" s="16">
        <f>H14*$E$9</f>
        <v>432949.8</v>
      </c>
      <c r="I16" s="90">
        <f>I14*$E$8</f>
        <v>358317.6</v>
      </c>
      <c r="J16" s="47">
        <f>J14*$E$8</f>
        <v>354465.6858</v>
      </c>
      <c r="K16" s="85">
        <f>K14*$E$8</f>
        <v>350613.7716</v>
      </c>
      <c r="L16" s="85">
        <f>L14*$E$8</f>
        <v>346761.8574</v>
      </c>
      <c r="M16" s="85">
        <f>M14*$E$8</f>
        <v>342909.9432</v>
      </c>
      <c r="N16" s="46">
        <f>N14*$E$9*0.9</f>
        <v>353594.69999999995</v>
      </c>
      <c r="O16" s="46">
        <f>O14*$E$9*0.93</f>
        <v>361230.228</v>
      </c>
      <c r="P16" s="46">
        <f>P14*$E$9*0.97</f>
        <v>372437.51399999997</v>
      </c>
      <c r="Q16" s="46">
        <f>Q14*$E$9*1.103</f>
        <v>418580.5584</v>
      </c>
      <c r="R16" s="46">
        <f>R14*$E$9*1.107</f>
        <v>415157.54579999996</v>
      </c>
      <c r="S16" s="46">
        <f>S14*$E$9*1.1</f>
        <v>407622.60000000003</v>
      </c>
      <c r="T16" s="85">
        <f>T14*$E$9*1.137</f>
        <v>416258.65619999997</v>
      </c>
      <c r="U16" s="85">
        <f>U14*$E$9*1.137</f>
        <v>411183.7704</v>
      </c>
      <c r="V16" s="85">
        <f>V14*$E$9*1.137</f>
        <v>406108.8846</v>
      </c>
      <c r="W16" s="85">
        <f>W14*$E$9*1.137</f>
        <v>401033.99879999994</v>
      </c>
      <c r="X16" s="85">
        <f>X14*$E$9*1.137</f>
        <v>395959.113</v>
      </c>
    </row>
    <row r="17" spans="1:24" ht="18.75">
      <c r="A17" s="37"/>
      <c r="B17" s="28"/>
      <c r="C17" s="28"/>
      <c r="D17" s="35"/>
      <c r="E17" s="16"/>
      <c r="F17" s="16"/>
      <c r="G17" s="16"/>
      <c r="H17" s="16"/>
      <c r="I17" s="16"/>
      <c r="J17" s="47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8.75">
      <c r="A18" s="37"/>
      <c r="B18" s="39" t="s">
        <v>18</v>
      </c>
      <c r="C18" s="28"/>
      <c r="D18" s="35"/>
      <c r="E18" s="16">
        <f aca="true" t="shared" si="1" ref="E18:X18">E16+E17</f>
        <v>446339.99999999994</v>
      </c>
      <c r="F18" s="40">
        <f t="shared" si="1"/>
        <v>441876.6</v>
      </c>
      <c r="G18" s="16">
        <f t="shared" si="1"/>
        <v>437413.19999999995</v>
      </c>
      <c r="H18" s="16">
        <f t="shared" si="1"/>
        <v>432949.8</v>
      </c>
      <c r="I18" s="16">
        <f t="shared" si="1"/>
        <v>358317.6</v>
      </c>
      <c r="J18" s="47">
        <f t="shared" si="1"/>
        <v>354465.6858</v>
      </c>
      <c r="K18" s="16">
        <f t="shared" si="1"/>
        <v>350613.7716</v>
      </c>
      <c r="L18" s="16">
        <f t="shared" si="1"/>
        <v>346761.8574</v>
      </c>
      <c r="M18" s="16">
        <f t="shared" si="1"/>
        <v>342909.9432</v>
      </c>
      <c r="N18" s="16">
        <f t="shared" si="1"/>
        <v>353594.69999999995</v>
      </c>
      <c r="O18" s="16">
        <f t="shared" si="1"/>
        <v>361230.228</v>
      </c>
      <c r="P18" s="16">
        <f t="shared" si="1"/>
        <v>372437.51399999997</v>
      </c>
      <c r="Q18" s="16">
        <f t="shared" si="1"/>
        <v>418580.5584</v>
      </c>
      <c r="R18" s="16">
        <f t="shared" si="1"/>
        <v>415157.54579999996</v>
      </c>
      <c r="S18" s="16">
        <f t="shared" si="1"/>
        <v>407622.60000000003</v>
      </c>
      <c r="T18" s="16">
        <f t="shared" si="1"/>
        <v>416258.65619999997</v>
      </c>
      <c r="U18" s="16">
        <f t="shared" si="1"/>
        <v>411183.7704</v>
      </c>
      <c r="V18" s="16">
        <f t="shared" si="1"/>
        <v>406108.8846</v>
      </c>
      <c r="W18" s="16">
        <f t="shared" si="1"/>
        <v>401033.99879999994</v>
      </c>
      <c r="X18" s="16">
        <f t="shared" si="1"/>
        <v>395959.113</v>
      </c>
    </row>
    <row r="19" spans="1:24" ht="18.75">
      <c r="A19" s="37"/>
      <c r="B19" s="28"/>
      <c r="C19" s="28"/>
      <c r="D19" s="35"/>
      <c r="E19" s="14"/>
      <c r="F19" s="14"/>
      <c r="G19" s="14"/>
      <c r="H19" s="14"/>
      <c r="I19" s="14"/>
      <c r="J19" s="95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8.75">
      <c r="A20" s="37"/>
      <c r="B20" s="28" t="s">
        <v>48</v>
      </c>
      <c r="C20" s="28"/>
      <c r="D20" s="35"/>
      <c r="E20" s="14">
        <f>E10</f>
        <v>0.08</v>
      </c>
      <c r="F20" s="41">
        <f>E20*1.02</f>
        <v>0.0816</v>
      </c>
      <c r="G20" s="41">
        <f>F20*1.02</f>
        <v>0.08323200000000001</v>
      </c>
      <c r="H20" s="84">
        <v>0.048</v>
      </c>
      <c r="I20" s="84">
        <v>0.048</v>
      </c>
      <c r="J20" s="96">
        <v>0.048</v>
      </c>
      <c r="K20" s="84">
        <v>0.048</v>
      </c>
      <c r="L20" s="84">
        <v>0.048</v>
      </c>
      <c r="M20" s="84">
        <v>0.048</v>
      </c>
      <c r="N20" s="84">
        <v>0.048</v>
      </c>
      <c r="O20" s="84">
        <v>0.048</v>
      </c>
      <c r="P20" s="84">
        <v>0.048</v>
      </c>
      <c r="Q20" s="84">
        <v>0.048</v>
      </c>
      <c r="R20" s="84">
        <v>0.048</v>
      </c>
      <c r="S20" s="84">
        <v>0.048</v>
      </c>
      <c r="T20" s="84">
        <v>0.048</v>
      </c>
      <c r="U20" s="84">
        <v>0.048</v>
      </c>
      <c r="V20" s="84">
        <v>0.048</v>
      </c>
      <c r="W20" s="84">
        <v>0.048</v>
      </c>
      <c r="X20" s="84">
        <v>0.048</v>
      </c>
    </row>
    <row r="21" spans="1:24" ht="18.75">
      <c r="A21" s="37"/>
      <c r="B21" s="28" t="s">
        <v>19</v>
      </c>
      <c r="C21" s="28"/>
      <c r="D21" s="35"/>
      <c r="E21" s="16">
        <f aca="true" t="shared" si="2" ref="E21:X21">E20*E14</f>
        <v>103200</v>
      </c>
      <c r="F21" s="16">
        <f t="shared" si="2"/>
        <v>104211.36</v>
      </c>
      <c r="G21" s="16">
        <f t="shared" si="2"/>
        <v>105221.89440000002</v>
      </c>
      <c r="H21" s="16">
        <f t="shared" si="2"/>
        <v>60062.4</v>
      </c>
      <c r="I21" s="16">
        <f t="shared" si="2"/>
        <v>57600</v>
      </c>
      <c r="J21" s="47">
        <f t="shared" si="2"/>
        <v>56980.8</v>
      </c>
      <c r="K21" s="16">
        <f t="shared" si="2"/>
        <v>56361.6</v>
      </c>
      <c r="L21" s="16">
        <f t="shared" si="2"/>
        <v>55742.4</v>
      </c>
      <c r="M21" s="16">
        <f t="shared" si="2"/>
        <v>55123.200000000004</v>
      </c>
      <c r="N21" s="16">
        <f t="shared" si="2"/>
        <v>54504</v>
      </c>
      <c r="O21" s="16">
        <f t="shared" si="2"/>
        <v>53884.8</v>
      </c>
      <c r="P21" s="16">
        <f t="shared" si="2"/>
        <v>53265.6</v>
      </c>
      <c r="Q21" s="16">
        <f t="shared" si="2"/>
        <v>52646.4</v>
      </c>
      <c r="R21" s="16">
        <f t="shared" si="2"/>
        <v>52027.200000000004</v>
      </c>
      <c r="S21" s="16">
        <f t="shared" si="2"/>
        <v>51408</v>
      </c>
      <c r="T21" s="16">
        <f t="shared" si="2"/>
        <v>50788.8</v>
      </c>
      <c r="U21" s="16">
        <f t="shared" si="2"/>
        <v>50169.6</v>
      </c>
      <c r="V21" s="16">
        <f t="shared" si="2"/>
        <v>49550.4</v>
      </c>
      <c r="W21" s="16">
        <f t="shared" si="2"/>
        <v>48931.200000000004</v>
      </c>
      <c r="X21" s="16">
        <f t="shared" si="2"/>
        <v>48312</v>
      </c>
    </row>
    <row r="22" spans="1:24" ht="18.75">
      <c r="A22" s="37"/>
      <c r="B22" s="28" t="s">
        <v>20</v>
      </c>
      <c r="C22" s="28"/>
      <c r="D22" s="35"/>
      <c r="E22" s="16">
        <f aca="true" t="shared" si="3" ref="E22:X22">-E21*0.5%</f>
        <v>-516</v>
      </c>
      <c r="F22" s="16">
        <f t="shared" si="3"/>
        <v>-521.0568000000001</v>
      </c>
      <c r="G22" s="16">
        <f t="shared" si="3"/>
        <v>-526.1094720000001</v>
      </c>
      <c r="H22" s="16">
        <f t="shared" si="3"/>
        <v>-300.312</v>
      </c>
      <c r="I22" s="16">
        <f t="shared" si="3"/>
        <v>-288</v>
      </c>
      <c r="J22" s="47">
        <f t="shared" si="3"/>
        <v>-284.904</v>
      </c>
      <c r="K22" s="16">
        <f t="shared" si="3"/>
        <v>-281.808</v>
      </c>
      <c r="L22" s="16">
        <f t="shared" si="3"/>
        <v>-278.712</v>
      </c>
      <c r="M22" s="16">
        <f t="shared" si="3"/>
        <v>-275.61600000000004</v>
      </c>
      <c r="N22" s="16">
        <f t="shared" si="3"/>
        <v>-272.52</v>
      </c>
      <c r="O22" s="16">
        <f t="shared" si="3"/>
        <v>-269.42400000000004</v>
      </c>
      <c r="P22" s="16">
        <f t="shared" si="3"/>
        <v>-266.328</v>
      </c>
      <c r="Q22" s="16">
        <f t="shared" si="3"/>
        <v>-263.232</v>
      </c>
      <c r="R22" s="16">
        <f t="shared" si="3"/>
        <v>-260.136</v>
      </c>
      <c r="S22" s="16">
        <f t="shared" si="3"/>
        <v>-257.04</v>
      </c>
      <c r="T22" s="16">
        <f t="shared" si="3"/>
        <v>-253.94400000000002</v>
      </c>
      <c r="U22" s="16">
        <f t="shared" si="3"/>
        <v>-250.84799999999998</v>
      </c>
      <c r="V22" s="16">
        <f t="shared" si="3"/>
        <v>-247.752</v>
      </c>
      <c r="W22" s="16">
        <f t="shared" si="3"/>
        <v>-244.65600000000003</v>
      </c>
      <c r="X22" s="16">
        <f t="shared" si="3"/>
        <v>-241.56</v>
      </c>
    </row>
    <row r="23" spans="1:128" s="4" customFormat="1" ht="18.75">
      <c r="A23" s="42"/>
      <c r="B23" s="43" t="s">
        <v>21</v>
      </c>
      <c r="C23" s="44"/>
      <c r="D23" s="45"/>
      <c r="E23" s="46">
        <f>E21+E22</f>
        <v>102684</v>
      </c>
      <c r="F23" s="46">
        <f aca="true" t="shared" si="4" ref="F23:X23">F21+F22</f>
        <v>103690.3032</v>
      </c>
      <c r="G23" s="46">
        <f t="shared" si="4"/>
        <v>104695.78492800002</v>
      </c>
      <c r="H23" s="46">
        <f t="shared" si="4"/>
        <v>59762.088</v>
      </c>
      <c r="I23" s="46">
        <f t="shared" si="4"/>
        <v>57312</v>
      </c>
      <c r="J23" s="47">
        <f t="shared" si="4"/>
        <v>56695.896</v>
      </c>
      <c r="K23" s="46">
        <f t="shared" si="4"/>
        <v>56079.792</v>
      </c>
      <c r="L23" s="46">
        <f t="shared" si="4"/>
        <v>55463.688</v>
      </c>
      <c r="M23" s="46">
        <f t="shared" si="4"/>
        <v>54847.584</v>
      </c>
      <c r="N23" s="46">
        <f t="shared" si="4"/>
        <v>54231.48</v>
      </c>
      <c r="O23" s="46">
        <f t="shared" si="4"/>
        <v>53615.376000000004</v>
      </c>
      <c r="P23" s="46">
        <f t="shared" si="4"/>
        <v>52999.272</v>
      </c>
      <c r="Q23" s="46">
        <f t="shared" si="4"/>
        <v>52383.168</v>
      </c>
      <c r="R23" s="46">
        <f t="shared" si="4"/>
        <v>51767.064000000006</v>
      </c>
      <c r="S23" s="46">
        <f t="shared" si="4"/>
        <v>51150.96</v>
      </c>
      <c r="T23" s="46">
        <f t="shared" si="4"/>
        <v>50534.856</v>
      </c>
      <c r="U23" s="46">
        <f t="shared" si="4"/>
        <v>49918.752</v>
      </c>
      <c r="V23" s="46">
        <f t="shared" si="4"/>
        <v>49302.648</v>
      </c>
      <c r="W23" s="46">
        <f t="shared" si="4"/>
        <v>48686.544</v>
      </c>
      <c r="X23" s="46">
        <f t="shared" si="4"/>
        <v>48070.44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</row>
    <row r="24" spans="1:128" ht="18.75">
      <c r="A24" s="14"/>
      <c r="B24" s="28"/>
      <c r="C24" s="28"/>
      <c r="D24" s="35"/>
      <c r="E24" s="16"/>
      <c r="F24" s="16"/>
      <c r="G24" s="16"/>
      <c r="H24" s="16"/>
      <c r="I24" s="16"/>
      <c r="J24" s="47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</row>
    <row r="25" spans="1:128" ht="18.75">
      <c r="A25" s="14"/>
      <c r="B25" s="39" t="s">
        <v>22</v>
      </c>
      <c r="C25" s="28"/>
      <c r="D25" s="35"/>
      <c r="E25" s="38">
        <v>-50000</v>
      </c>
      <c r="F25" s="16">
        <f>E25*1.03</f>
        <v>-51500</v>
      </c>
      <c r="G25" s="16">
        <f aca="true" t="shared" si="5" ref="G25:X25">F25*1.03</f>
        <v>-53045</v>
      </c>
      <c r="H25" s="16">
        <f t="shared" si="5"/>
        <v>-54636.35</v>
      </c>
      <c r="I25" s="16">
        <f t="shared" si="5"/>
        <v>-56275.4405</v>
      </c>
      <c r="J25" s="47">
        <f t="shared" si="5"/>
        <v>-57963.703714999996</v>
      </c>
      <c r="K25" s="16">
        <f t="shared" si="5"/>
        <v>-59702.61482645</v>
      </c>
      <c r="L25" s="16">
        <f t="shared" si="5"/>
        <v>-61493.6932712435</v>
      </c>
      <c r="M25" s="16">
        <f t="shared" si="5"/>
        <v>-63338.504069380804</v>
      </c>
      <c r="N25" s="16">
        <f t="shared" si="5"/>
        <v>-65238.65919146223</v>
      </c>
      <c r="O25" s="16">
        <f t="shared" si="5"/>
        <v>-67195.8189672061</v>
      </c>
      <c r="P25" s="16">
        <f t="shared" si="5"/>
        <v>-69211.69353622229</v>
      </c>
      <c r="Q25" s="16">
        <f t="shared" si="5"/>
        <v>-71288.04434230896</v>
      </c>
      <c r="R25" s="16">
        <f t="shared" si="5"/>
        <v>-73426.68567257823</v>
      </c>
      <c r="S25" s="16">
        <f t="shared" si="5"/>
        <v>-75629.48624275558</v>
      </c>
      <c r="T25" s="16">
        <f t="shared" si="5"/>
        <v>-77898.37083003824</v>
      </c>
      <c r="U25" s="16">
        <f t="shared" si="5"/>
        <v>-80235.3219549394</v>
      </c>
      <c r="V25" s="16">
        <f t="shared" si="5"/>
        <v>-82642.38161358758</v>
      </c>
      <c r="W25" s="16">
        <f t="shared" si="5"/>
        <v>-85121.65306199521</v>
      </c>
      <c r="X25" s="16">
        <f t="shared" si="5"/>
        <v>-87675.30265385506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</row>
    <row r="26" spans="1:128" ht="18.75">
      <c r="A26" s="14"/>
      <c r="B26" s="28" t="s">
        <v>63</v>
      </c>
      <c r="C26" s="28"/>
      <c r="D26" s="35"/>
      <c r="E26" s="38">
        <f>-E54</f>
        <v>0</v>
      </c>
      <c r="F26" s="47">
        <v>300253.38</v>
      </c>
      <c r="G26" s="47">
        <v>300253.38</v>
      </c>
      <c r="H26" s="87">
        <v>299009.98</v>
      </c>
      <c r="I26" s="47">
        <v>297762.56</v>
      </c>
      <c r="J26" s="47">
        <v>297762.56</v>
      </c>
      <c r="K26" s="47">
        <v>297762.56</v>
      </c>
      <c r="L26" s="47">
        <v>297762.56</v>
      </c>
      <c r="M26" s="47">
        <v>297762.56</v>
      </c>
      <c r="N26" s="47">
        <v>297762.56</v>
      </c>
      <c r="O26" s="47">
        <v>297762.56</v>
      </c>
      <c r="P26" s="47">
        <v>297762.56</v>
      </c>
      <c r="Q26" s="47">
        <v>297762.56</v>
      </c>
      <c r="R26" s="47">
        <v>297762.56</v>
      </c>
      <c r="S26" s="47">
        <v>297762.56</v>
      </c>
      <c r="T26" s="47">
        <v>297762.56</v>
      </c>
      <c r="U26" s="47">
        <v>297762.56</v>
      </c>
      <c r="V26" s="47">
        <v>297762.56</v>
      </c>
      <c r="W26" s="130">
        <v>31393.5</v>
      </c>
      <c r="X26" s="47"/>
      <c r="Y26" s="11">
        <f>SUM(F26:X26)</f>
        <v>5099586.079999999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</row>
    <row r="27" spans="1:128" ht="18.75">
      <c r="A27" s="14"/>
      <c r="B27" s="28"/>
      <c r="C27" s="28"/>
      <c r="D27" s="35"/>
      <c r="E27" s="14"/>
      <c r="F27" s="14"/>
      <c r="G27" s="14"/>
      <c r="H27" s="88"/>
      <c r="I27" s="14"/>
      <c r="J27" s="80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</row>
    <row r="28" spans="1:128" ht="18.75">
      <c r="A28" s="14"/>
      <c r="B28" s="127" t="s">
        <v>23</v>
      </c>
      <c r="C28" s="127"/>
      <c r="D28" s="127"/>
      <c r="E28" s="16">
        <f>SUM(E18+E23+E25-E26)</f>
        <v>499024</v>
      </c>
      <c r="F28" s="16">
        <f aca="true" t="shared" si="6" ref="F28:W28">SUM(F18+F23+F25-F26)</f>
        <v>193813.52319999994</v>
      </c>
      <c r="G28" s="16">
        <f t="shared" si="6"/>
        <v>188810.60492800002</v>
      </c>
      <c r="H28" s="16">
        <f t="shared" si="6"/>
        <v>139065.55800000002</v>
      </c>
      <c r="I28" s="16">
        <f t="shared" si="6"/>
        <v>61591.59949999995</v>
      </c>
      <c r="J28" s="16">
        <f t="shared" si="6"/>
        <v>55435.31808499998</v>
      </c>
      <c r="K28" s="16">
        <f t="shared" si="6"/>
        <v>49228.38877354999</v>
      </c>
      <c r="L28" s="16">
        <f t="shared" si="6"/>
        <v>42969.292128756526</v>
      </c>
      <c r="M28" s="16">
        <f t="shared" si="6"/>
        <v>36656.4631306192</v>
      </c>
      <c r="N28" s="16">
        <f t="shared" si="6"/>
        <v>44824.960808537726</v>
      </c>
      <c r="O28" s="16">
        <f t="shared" si="6"/>
        <v>49887.22503279388</v>
      </c>
      <c r="P28" s="16">
        <f t="shared" si="6"/>
        <v>58462.532463777694</v>
      </c>
      <c r="Q28" s="16">
        <f t="shared" si="6"/>
        <v>101913.12205769104</v>
      </c>
      <c r="R28" s="16">
        <f t="shared" si="6"/>
        <v>95735.36412742175</v>
      </c>
      <c r="S28" s="16">
        <f t="shared" si="6"/>
        <v>85381.51375724451</v>
      </c>
      <c r="T28" s="16">
        <f t="shared" si="6"/>
        <v>91132.58136996179</v>
      </c>
      <c r="U28" s="16">
        <f t="shared" si="6"/>
        <v>83104.64044506056</v>
      </c>
      <c r="V28" s="16">
        <f t="shared" si="6"/>
        <v>75006.59098641243</v>
      </c>
      <c r="W28" s="16">
        <f t="shared" si="6"/>
        <v>333205.3897380047</v>
      </c>
      <c r="X28" s="16">
        <f aca="true" t="shared" si="7" ref="J28:X28">SUM(X18+X23+X25+X26)</f>
        <v>356354.25034614495</v>
      </c>
      <c r="Y28" s="11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</row>
    <row r="29" spans="1:128" s="1" customFormat="1" ht="18.75">
      <c r="A29" s="80"/>
      <c r="B29" s="81"/>
      <c r="C29" s="81"/>
      <c r="D29" s="82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</row>
    <row r="30" spans="1:128" s="1" customFormat="1" ht="18.75">
      <c r="A30" s="80"/>
      <c r="B30" s="81"/>
      <c r="C30" s="81"/>
      <c r="D30" s="82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</row>
    <row r="31" spans="1:128" ht="18.75">
      <c r="A31" s="14"/>
      <c r="B31" s="28"/>
      <c r="C31" s="28"/>
      <c r="D31" s="35"/>
      <c r="E31" s="16"/>
      <c r="F31" s="16"/>
      <c r="G31" s="16"/>
      <c r="H31" s="16"/>
      <c r="I31" s="40"/>
      <c r="J31" s="40"/>
      <c r="K31" s="40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</row>
    <row r="32" spans="1:128" ht="18.75">
      <c r="A32" s="14"/>
      <c r="B32" s="128" t="s">
        <v>24</v>
      </c>
      <c r="C32" s="128"/>
      <c r="D32" s="128"/>
      <c r="E32" s="48">
        <f>E28+F35</f>
        <v>499024</v>
      </c>
      <c r="F32" s="48">
        <f aca="true" t="shared" si="8" ref="F32:X32">F28+F29</f>
        <v>193813.52319999994</v>
      </c>
      <c r="G32" s="48">
        <f t="shared" si="8"/>
        <v>188810.60492800002</v>
      </c>
      <c r="H32" s="48">
        <f t="shared" si="8"/>
        <v>139065.55800000002</v>
      </c>
      <c r="I32" s="48">
        <f t="shared" si="8"/>
        <v>61591.59949999995</v>
      </c>
      <c r="J32" s="48">
        <f t="shared" si="8"/>
        <v>55435.31808499998</v>
      </c>
      <c r="K32" s="48">
        <f t="shared" si="8"/>
        <v>49228.38877354999</v>
      </c>
      <c r="L32" s="48">
        <f t="shared" si="8"/>
        <v>42969.292128756526</v>
      </c>
      <c r="M32" s="48">
        <f t="shared" si="8"/>
        <v>36656.4631306192</v>
      </c>
      <c r="N32" s="48">
        <f t="shared" si="8"/>
        <v>44824.960808537726</v>
      </c>
      <c r="O32" s="48">
        <f t="shared" si="8"/>
        <v>49887.22503279388</v>
      </c>
      <c r="P32" s="48">
        <f t="shared" si="8"/>
        <v>58462.532463777694</v>
      </c>
      <c r="Q32" s="48">
        <f t="shared" si="8"/>
        <v>101913.12205769104</v>
      </c>
      <c r="R32" s="48">
        <f t="shared" si="8"/>
        <v>95735.36412742175</v>
      </c>
      <c r="S32" s="48">
        <f t="shared" si="8"/>
        <v>85381.51375724451</v>
      </c>
      <c r="T32" s="48">
        <f t="shared" si="8"/>
        <v>91132.58136996179</v>
      </c>
      <c r="U32" s="48">
        <f t="shared" si="8"/>
        <v>83104.64044506056</v>
      </c>
      <c r="V32" s="48">
        <f t="shared" si="8"/>
        <v>75006.59098641243</v>
      </c>
      <c r="W32" s="48">
        <f t="shared" si="8"/>
        <v>333205.3897380047</v>
      </c>
      <c r="X32" s="48">
        <f t="shared" si="8"/>
        <v>356354.25034614495</v>
      </c>
      <c r="Y32" s="11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</row>
    <row r="33" spans="1:128" ht="18.75">
      <c r="A33" s="14"/>
      <c r="B33" s="117" t="s">
        <v>25</v>
      </c>
      <c r="C33" s="129"/>
      <c r="D33" s="118"/>
      <c r="E33" s="16">
        <f>E32</f>
        <v>499024</v>
      </c>
      <c r="F33" s="16">
        <f>E33+F32</f>
        <v>692837.5231999999</v>
      </c>
      <c r="G33" s="16">
        <f>F33+G32</f>
        <v>881648.128128</v>
      </c>
      <c r="H33" s="16">
        <f aca="true" t="shared" si="9" ref="F33:X33">G33+H32</f>
        <v>1020713.686128</v>
      </c>
      <c r="I33" s="40">
        <f t="shared" si="9"/>
        <v>1082305.285628</v>
      </c>
      <c r="J33" s="40">
        <f t="shared" si="9"/>
        <v>1137740.603713</v>
      </c>
      <c r="K33" s="16">
        <f t="shared" si="9"/>
        <v>1186968.99248655</v>
      </c>
      <c r="L33" s="16">
        <f t="shared" si="9"/>
        <v>1229938.2846153066</v>
      </c>
      <c r="M33" s="16">
        <f t="shared" si="9"/>
        <v>1266594.7477459258</v>
      </c>
      <c r="N33" s="16">
        <f t="shared" si="9"/>
        <v>1311419.7085544635</v>
      </c>
      <c r="O33" s="16">
        <f t="shared" si="9"/>
        <v>1361306.9335872573</v>
      </c>
      <c r="P33" s="16">
        <f t="shared" si="9"/>
        <v>1419769.466051035</v>
      </c>
      <c r="Q33" s="16">
        <f t="shared" si="9"/>
        <v>1521682.588108726</v>
      </c>
      <c r="R33" s="16">
        <f t="shared" si="9"/>
        <v>1617417.9522361478</v>
      </c>
      <c r="S33" s="16">
        <f t="shared" si="9"/>
        <v>1702799.4659933923</v>
      </c>
      <c r="T33" s="16">
        <f t="shared" si="9"/>
        <v>1793932.0473633541</v>
      </c>
      <c r="U33" s="16">
        <f t="shared" si="9"/>
        <v>1877036.6878084147</v>
      </c>
      <c r="V33" s="16">
        <f t="shared" si="9"/>
        <v>1952043.2787948272</v>
      </c>
      <c r="W33" s="16">
        <f t="shared" si="9"/>
        <v>2285248.668532832</v>
      </c>
      <c r="X33" s="16">
        <f t="shared" si="9"/>
        <v>2641602.918878977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</row>
    <row r="34" spans="1:128" ht="18.75">
      <c r="A34" s="14"/>
      <c r="B34" s="49" t="s">
        <v>26</v>
      </c>
      <c r="C34" s="122">
        <f>X33</f>
        <v>2641602.918878977</v>
      </c>
      <c r="D34" s="123"/>
      <c r="E34" s="14"/>
      <c r="F34" s="14"/>
      <c r="G34" s="14"/>
      <c r="H34" s="14"/>
      <c r="I34" s="80"/>
      <c r="J34" s="80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</row>
    <row r="35" spans="1:128" ht="18.75">
      <c r="A35" s="14"/>
      <c r="B35" s="14"/>
      <c r="C35" s="14"/>
      <c r="D35" s="50" t="s">
        <v>27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</row>
    <row r="36" spans="1:128" ht="18.75">
      <c r="A36" s="14"/>
      <c r="B36" s="117" t="s">
        <v>28</v>
      </c>
      <c r="C36" s="118"/>
      <c r="D36" s="51">
        <v>0</v>
      </c>
      <c r="E36" s="52">
        <f>E32</f>
        <v>499024</v>
      </c>
      <c r="F36" s="52">
        <f>E36+F32</f>
        <v>692837.5231999999</v>
      </c>
      <c r="G36" s="52">
        <f>F36+G32</f>
        <v>881648.128128</v>
      </c>
      <c r="H36" s="52">
        <f aca="true" t="shared" si="10" ref="F36:X36">G36+H32</f>
        <v>1020713.686128</v>
      </c>
      <c r="I36" s="52">
        <f t="shared" si="10"/>
        <v>1082305.285628</v>
      </c>
      <c r="J36" s="52">
        <f t="shared" si="10"/>
        <v>1137740.603713</v>
      </c>
      <c r="K36" s="52">
        <f t="shared" si="10"/>
        <v>1186968.99248655</v>
      </c>
      <c r="L36" s="52">
        <f t="shared" si="10"/>
        <v>1229938.2846153066</v>
      </c>
      <c r="M36" s="52">
        <f t="shared" si="10"/>
        <v>1266594.7477459258</v>
      </c>
      <c r="N36" s="52">
        <f t="shared" si="10"/>
        <v>1311419.7085544635</v>
      </c>
      <c r="O36" s="52">
        <f t="shared" si="10"/>
        <v>1361306.9335872573</v>
      </c>
      <c r="P36" s="52">
        <f t="shared" si="10"/>
        <v>1419769.466051035</v>
      </c>
      <c r="Q36" s="52">
        <f t="shared" si="10"/>
        <v>1521682.588108726</v>
      </c>
      <c r="R36" s="52">
        <f t="shared" si="10"/>
        <v>1617417.9522361478</v>
      </c>
      <c r="S36" s="52">
        <f t="shared" si="10"/>
        <v>1702799.4659933923</v>
      </c>
      <c r="T36" s="52">
        <f t="shared" si="10"/>
        <v>1793932.0473633541</v>
      </c>
      <c r="U36" s="52">
        <f t="shared" si="10"/>
        <v>1877036.6878084147</v>
      </c>
      <c r="V36" s="52">
        <f t="shared" si="10"/>
        <v>1952043.2787948272</v>
      </c>
      <c r="W36" s="52">
        <f t="shared" si="10"/>
        <v>2285248.668532832</v>
      </c>
      <c r="X36" s="52">
        <f t="shared" si="10"/>
        <v>2641602.918878977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</row>
    <row r="37" spans="1:128" ht="18.75">
      <c r="A37" s="14"/>
      <c r="B37" s="14"/>
      <c r="C37" s="14"/>
      <c r="D37" s="2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</row>
    <row r="38" spans="1:128" ht="18.75">
      <c r="A38" s="14"/>
      <c r="B38" s="53" t="s">
        <v>29</v>
      </c>
      <c r="C38" s="119">
        <f>D36+SUM(E40:X40)</f>
        <v>2515812.3036942626</v>
      </c>
      <c r="D38" s="109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4"/>
      <c r="R38" s="14"/>
      <c r="S38" s="14"/>
      <c r="T38" s="14"/>
      <c r="U38" s="14"/>
      <c r="V38" s="14"/>
      <c r="W38" s="14"/>
      <c r="X38" s="14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</row>
    <row r="39" spans="1:128" ht="18.75">
      <c r="A39" s="14"/>
      <c r="B39" s="54" t="s">
        <v>30</v>
      </c>
      <c r="C39" s="54"/>
      <c r="D39" s="55"/>
      <c r="E39" s="56">
        <v>0.05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4"/>
      <c r="R39" s="14"/>
      <c r="S39" s="14"/>
      <c r="T39" s="14"/>
      <c r="U39" s="14"/>
      <c r="V39" s="14"/>
      <c r="W39" s="14"/>
      <c r="X39" s="14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</row>
    <row r="40" spans="1:128" ht="18.75">
      <c r="A40" s="14"/>
      <c r="B40" s="14" t="s">
        <v>31</v>
      </c>
      <c r="C40" s="14"/>
      <c r="D40" s="14"/>
      <c r="E40" s="57">
        <f>E32/((1+$E$39)^$E$13)</f>
        <v>475260.95238095237</v>
      </c>
      <c r="F40" s="57">
        <f>F32/((1+$E$39)^$E$13)</f>
        <v>184584.30780952374</v>
      </c>
      <c r="G40" s="57">
        <f aca="true" t="shared" si="11" ref="G40:X40">G32/(1+$E$39)^$E$13</f>
        <v>179819.62374095237</v>
      </c>
      <c r="H40" s="57">
        <f t="shared" si="11"/>
        <v>132443.38857142857</v>
      </c>
      <c r="I40" s="57">
        <f t="shared" si="11"/>
        <v>58658.66619047614</v>
      </c>
      <c r="J40" s="57">
        <f t="shared" si="11"/>
        <v>52795.54103333331</v>
      </c>
      <c r="K40" s="57">
        <f t="shared" si="11"/>
        <v>46884.17978433332</v>
      </c>
      <c r="L40" s="57">
        <f t="shared" si="11"/>
        <v>40923.1353607205</v>
      </c>
      <c r="M40" s="57">
        <f t="shared" si="11"/>
        <v>34910.91726725638</v>
      </c>
      <c r="N40" s="57">
        <f t="shared" si="11"/>
        <v>42690.43886527402</v>
      </c>
      <c r="O40" s="57">
        <f t="shared" si="11"/>
        <v>47511.64288837512</v>
      </c>
      <c r="P40" s="57">
        <f t="shared" si="11"/>
        <v>55678.60234645494</v>
      </c>
      <c r="Q40" s="57">
        <f t="shared" si="11"/>
        <v>97060.11624542004</v>
      </c>
      <c r="R40" s="57">
        <f t="shared" si="11"/>
        <v>91176.53726421119</v>
      </c>
      <c r="S40" s="57">
        <f t="shared" si="11"/>
        <v>81315.7273878519</v>
      </c>
      <c r="T40" s="57">
        <f t="shared" si="11"/>
        <v>86792.93463805884</v>
      </c>
      <c r="U40" s="57">
        <f t="shared" si="11"/>
        <v>79147.27661434338</v>
      </c>
      <c r="V40" s="57">
        <f t="shared" si="11"/>
        <v>71434.84855848803</v>
      </c>
      <c r="W40" s="57">
        <f t="shared" si="11"/>
        <v>317338.4664171473</v>
      </c>
      <c r="X40" s="57">
        <f t="shared" si="11"/>
        <v>339385.0003296618</v>
      </c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</row>
    <row r="41" spans="1:128" ht="18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</row>
    <row r="42" spans="1:128" ht="18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</row>
    <row r="43" spans="1:128" ht="18.75">
      <c r="A43" s="14"/>
      <c r="B43" s="14"/>
      <c r="C43" s="14"/>
      <c r="D43" s="14"/>
      <c r="E43" s="28"/>
      <c r="F43" s="14"/>
      <c r="G43" s="14"/>
      <c r="H43" s="28"/>
      <c r="I43" s="28"/>
      <c r="J43" s="28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</row>
    <row r="44" spans="1:128" ht="18.75">
      <c r="A44" s="14"/>
      <c r="B44" s="120" t="s">
        <v>32</v>
      </c>
      <c r="C44" s="120"/>
      <c r="D44" s="120"/>
      <c r="E44" s="58" t="s">
        <v>47</v>
      </c>
      <c r="F44" s="59"/>
      <c r="G44" s="14"/>
      <c r="H44" s="121"/>
      <c r="I44" s="121"/>
      <c r="J44" s="61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</row>
    <row r="45" spans="1:128" ht="18.75">
      <c r="A45" s="14"/>
      <c r="B45" s="14"/>
      <c r="C45" s="14"/>
      <c r="D45" s="62" t="s">
        <v>45</v>
      </c>
      <c r="E45" s="63">
        <v>0</v>
      </c>
      <c r="F45" s="64"/>
      <c r="G45" s="65">
        <f>E46*E45</f>
        <v>0</v>
      </c>
      <c r="H45" s="60"/>
      <c r="I45" s="60"/>
      <c r="J45" s="61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</row>
    <row r="46" spans="1:128" ht="18.75">
      <c r="A46" s="14"/>
      <c r="B46" s="14"/>
      <c r="C46" s="14"/>
      <c r="D46" s="62" t="s">
        <v>3</v>
      </c>
      <c r="E46" s="66">
        <f>I4</f>
        <v>3482172.1</v>
      </c>
      <c r="F46" s="64" t="s">
        <v>46</v>
      </c>
      <c r="G46" s="67">
        <f>E46</f>
        <v>3482172.1</v>
      </c>
      <c r="H46" s="68"/>
      <c r="I46" s="60"/>
      <c r="J46" s="61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</row>
    <row r="47" spans="1:128" ht="18.75">
      <c r="A47" s="14"/>
      <c r="B47" s="14"/>
      <c r="C47" s="69"/>
      <c r="D47" s="62" t="s">
        <v>33</v>
      </c>
      <c r="E47" s="70">
        <v>0.0569</v>
      </c>
      <c r="F47" s="64" t="s">
        <v>34</v>
      </c>
      <c r="G47" s="71">
        <v>17</v>
      </c>
      <c r="H47" s="60"/>
      <c r="I47" s="60"/>
      <c r="J47" s="61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</row>
    <row r="48" spans="1:128" ht="18.75">
      <c r="A48" s="14"/>
      <c r="B48" s="14"/>
      <c r="C48" s="69"/>
      <c r="D48" s="62" t="s">
        <v>35</v>
      </c>
      <c r="E48" s="72">
        <f>-PMT(E47,G47,G46)</f>
        <v>324984.3335046189</v>
      </c>
      <c r="F48" s="64"/>
      <c r="G48" s="28"/>
      <c r="H48" s="60"/>
      <c r="I48" s="60"/>
      <c r="J48" s="61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</row>
    <row r="49" spans="1:128" ht="18.75">
      <c r="A49" s="14"/>
      <c r="B49" s="14"/>
      <c r="C49" s="69"/>
      <c r="D49" s="62"/>
      <c r="E49" s="73"/>
      <c r="F49" s="74"/>
      <c r="G49" s="14"/>
      <c r="H49" s="60"/>
      <c r="I49" s="60"/>
      <c r="J49" s="61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</row>
    <row r="50" spans="1:128" ht="18.75">
      <c r="A50" s="14"/>
      <c r="B50" s="14"/>
      <c r="C50" s="14"/>
      <c r="D50" s="17" t="s">
        <v>36</v>
      </c>
      <c r="E50" s="17">
        <v>1</v>
      </c>
      <c r="F50" s="17">
        <v>2</v>
      </c>
      <c r="G50" s="17">
        <v>3</v>
      </c>
      <c r="H50" s="17">
        <v>4</v>
      </c>
      <c r="I50" s="17">
        <v>5</v>
      </c>
      <c r="J50" s="17">
        <v>6</v>
      </c>
      <c r="K50" s="17">
        <v>7</v>
      </c>
      <c r="L50" s="17">
        <v>8</v>
      </c>
      <c r="M50" s="17">
        <v>9</v>
      </c>
      <c r="N50" s="17">
        <v>10</v>
      </c>
      <c r="O50" s="17">
        <v>11</v>
      </c>
      <c r="P50" s="17">
        <v>12</v>
      </c>
      <c r="Q50" s="17">
        <v>13</v>
      </c>
      <c r="R50" s="17">
        <v>14</v>
      </c>
      <c r="S50" s="17">
        <v>15</v>
      </c>
      <c r="T50" s="17">
        <v>16</v>
      </c>
      <c r="U50" s="17">
        <v>17</v>
      </c>
      <c r="V50" s="17">
        <v>18</v>
      </c>
      <c r="W50" s="17"/>
      <c r="X50" s="17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</row>
    <row r="51" spans="1:128" ht="18.75">
      <c r="A51" s="14"/>
      <c r="B51" s="14" t="s">
        <v>37</v>
      </c>
      <c r="C51" s="14"/>
      <c r="D51" s="14"/>
      <c r="E51" s="16">
        <f>(E46*(1-E45))*0.99</f>
        <v>3447350.379</v>
      </c>
      <c r="F51" s="16">
        <f aca="true" t="shared" si="12" ref="F51:S51">E55</f>
        <v>3643504.6155651</v>
      </c>
      <c r="G51" s="16">
        <f t="shared" si="12"/>
        <v>3525835.6946861353</v>
      </c>
      <c r="H51" s="16">
        <f t="shared" si="12"/>
        <v>3401471.4122091574</v>
      </c>
      <c r="I51" s="16">
        <f t="shared" si="12"/>
        <v>3270030.8020592397</v>
      </c>
      <c r="J51" s="16">
        <f t="shared" si="12"/>
        <v>3131111.2211917914</v>
      </c>
      <c r="K51" s="16">
        <f t="shared" si="12"/>
        <v>2984287.116172985</v>
      </c>
      <c r="L51" s="16">
        <f t="shared" si="12"/>
        <v>2829108.7195786093</v>
      </c>
      <c r="M51" s="16">
        <f t="shared" si="12"/>
        <v>2665100.672218013</v>
      </c>
      <c r="N51" s="16">
        <f t="shared" si="12"/>
        <v>2491760.5669625993</v>
      </c>
      <c r="O51" s="16">
        <f t="shared" si="12"/>
        <v>2308557.409718152</v>
      </c>
      <c r="P51" s="16">
        <f t="shared" si="12"/>
        <v>2114929.9928264963</v>
      </c>
      <c r="Q51" s="16">
        <f t="shared" si="12"/>
        <v>1910285.175913705</v>
      </c>
      <c r="R51" s="16">
        <f t="shared" si="12"/>
        <v>1693996.068918576</v>
      </c>
      <c r="S51" s="16">
        <f t="shared" si="12"/>
        <v>1465400.111735424</v>
      </c>
      <c r="T51" s="16">
        <f>S55</f>
        <v>1223797.0445885507</v>
      </c>
      <c r="U51" s="16">
        <f>T55</f>
        <v>968446.7629210204</v>
      </c>
      <c r="V51" s="16">
        <f>U55</f>
        <v>698567.0502266076</v>
      </c>
      <c r="W51" s="16"/>
      <c r="X51" s="16"/>
      <c r="Y51" s="11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</row>
    <row r="52" spans="1:128" ht="18.75">
      <c r="A52" s="14"/>
      <c r="B52" s="14" t="s">
        <v>38</v>
      </c>
      <c r="C52" s="14"/>
      <c r="D52" s="14"/>
      <c r="E52" s="16">
        <f aca="true" t="shared" si="13" ref="E52:V52">E51*$E$47</f>
        <v>196154.2365651</v>
      </c>
      <c r="F52" s="16">
        <f t="shared" si="13"/>
        <v>207315.4126256542</v>
      </c>
      <c r="G52" s="16">
        <f t="shared" si="13"/>
        <v>200620.0510276411</v>
      </c>
      <c r="H52" s="16">
        <f t="shared" si="13"/>
        <v>193543.72335470104</v>
      </c>
      <c r="I52" s="16">
        <f t="shared" si="13"/>
        <v>186064.75263717075</v>
      </c>
      <c r="J52" s="16">
        <f t="shared" si="13"/>
        <v>178160.22848581293</v>
      </c>
      <c r="K52" s="16">
        <f t="shared" si="13"/>
        <v>169805.93691024286</v>
      </c>
      <c r="L52" s="16">
        <f t="shared" si="13"/>
        <v>160976.28614402286</v>
      </c>
      <c r="M52" s="16">
        <f t="shared" si="13"/>
        <v>151644.22824920496</v>
      </c>
      <c r="N52" s="16">
        <f t="shared" si="13"/>
        <v>141781.1762601719</v>
      </c>
      <c r="O52" s="16">
        <f t="shared" si="13"/>
        <v>131356.91661296284</v>
      </c>
      <c r="P52" s="16">
        <f t="shared" si="13"/>
        <v>120339.51659182763</v>
      </c>
      <c r="Q52" s="16">
        <f t="shared" si="13"/>
        <v>108695.22650948982</v>
      </c>
      <c r="R52" s="16">
        <f t="shared" si="13"/>
        <v>96388.37632146697</v>
      </c>
      <c r="S52" s="16">
        <f t="shared" si="13"/>
        <v>83381.26635774563</v>
      </c>
      <c r="T52" s="16">
        <f t="shared" si="13"/>
        <v>69634.05183708854</v>
      </c>
      <c r="U52" s="16">
        <f t="shared" si="13"/>
        <v>55104.62081020606</v>
      </c>
      <c r="V52" s="16">
        <f t="shared" si="13"/>
        <v>39748.465157893974</v>
      </c>
      <c r="W52" s="16"/>
      <c r="X52" s="16"/>
      <c r="Y52" s="11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</row>
    <row r="53" spans="1:128" ht="18.75">
      <c r="A53" s="14"/>
      <c r="B53" s="14" t="s">
        <v>39</v>
      </c>
      <c r="C53" s="14"/>
      <c r="D53" s="14"/>
      <c r="E53" s="16">
        <f aca="true" t="shared" si="14" ref="E53:V53">E54-E52</f>
        <v>-196154.2365651</v>
      </c>
      <c r="F53" s="16">
        <f t="shared" si="14"/>
        <v>117668.92087896471</v>
      </c>
      <c r="G53" s="16">
        <f t="shared" si="14"/>
        <v>124364.2824769778</v>
      </c>
      <c r="H53" s="16">
        <f t="shared" si="14"/>
        <v>131440.61014991786</v>
      </c>
      <c r="I53" s="16">
        <f t="shared" si="14"/>
        <v>138919.58086744815</v>
      </c>
      <c r="J53" s="16">
        <f t="shared" si="14"/>
        <v>146824.10501880597</v>
      </c>
      <c r="K53" s="16">
        <f t="shared" si="14"/>
        <v>155178.39659437604</v>
      </c>
      <c r="L53" s="16">
        <f t="shared" si="14"/>
        <v>164008.04736059604</v>
      </c>
      <c r="M53" s="16">
        <f t="shared" si="14"/>
        <v>173340.10525541395</v>
      </c>
      <c r="N53" s="16">
        <f t="shared" si="14"/>
        <v>183203.157244447</v>
      </c>
      <c r="O53" s="16">
        <f t="shared" si="14"/>
        <v>193627.41689165606</v>
      </c>
      <c r="P53" s="16">
        <f t="shared" si="14"/>
        <v>204644.81691279128</v>
      </c>
      <c r="Q53" s="16">
        <f t="shared" si="14"/>
        <v>216289.10699512908</v>
      </c>
      <c r="R53" s="16">
        <f t="shared" si="14"/>
        <v>228595.9571831519</v>
      </c>
      <c r="S53" s="16">
        <f t="shared" si="14"/>
        <v>241603.06714687328</v>
      </c>
      <c r="T53" s="16">
        <f t="shared" si="14"/>
        <v>255350.28166753036</v>
      </c>
      <c r="U53" s="16">
        <f t="shared" si="14"/>
        <v>269879.71269441285</v>
      </c>
      <c r="V53" s="16">
        <f t="shared" si="14"/>
        <v>285235.86834672495</v>
      </c>
      <c r="W53" s="16"/>
      <c r="X53" s="16"/>
      <c r="Y53" s="11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</row>
    <row r="54" spans="1:128" ht="18.75">
      <c r="A54" s="14"/>
      <c r="B54" s="14" t="s">
        <v>40</v>
      </c>
      <c r="C54" s="14"/>
      <c r="D54" s="14"/>
      <c r="E54" s="16"/>
      <c r="F54" s="16">
        <f aca="true" t="shared" si="15" ref="F54:V54">$E$48</f>
        <v>324984.3335046189</v>
      </c>
      <c r="G54" s="16">
        <f t="shared" si="15"/>
        <v>324984.3335046189</v>
      </c>
      <c r="H54" s="16">
        <f t="shared" si="15"/>
        <v>324984.3335046189</v>
      </c>
      <c r="I54" s="16">
        <f t="shared" si="15"/>
        <v>324984.3335046189</v>
      </c>
      <c r="J54" s="16">
        <f t="shared" si="15"/>
        <v>324984.3335046189</v>
      </c>
      <c r="K54" s="16">
        <f t="shared" si="15"/>
        <v>324984.3335046189</v>
      </c>
      <c r="L54" s="16">
        <f t="shared" si="15"/>
        <v>324984.3335046189</v>
      </c>
      <c r="M54" s="16">
        <f t="shared" si="15"/>
        <v>324984.3335046189</v>
      </c>
      <c r="N54" s="16">
        <f t="shared" si="15"/>
        <v>324984.3335046189</v>
      </c>
      <c r="O54" s="16">
        <f t="shared" si="15"/>
        <v>324984.3335046189</v>
      </c>
      <c r="P54" s="16">
        <f t="shared" si="15"/>
        <v>324984.3335046189</v>
      </c>
      <c r="Q54" s="16">
        <f t="shared" si="15"/>
        <v>324984.3335046189</v>
      </c>
      <c r="R54" s="16">
        <f t="shared" si="15"/>
        <v>324984.3335046189</v>
      </c>
      <c r="S54" s="16">
        <f t="shared" si="15"/>
        <v>324984.3335046189</v>
      </c>
      <c r="T54" s="16">
        <f t="shared" si="15"/>
        <v>324984.3335046189</v>
      </c>
      <c r="U54" s="16">
        <f t="shared" si="15"/>
        <v>324984.3335046189</v>
      </c>
      <c r="V54" s="16">
        <f t="shared" si="15"/>
        <v>324984.3335046189</v>
      </c>
      <c r="W54" s="16"/>
      <c r="X54" s="16"/>
      <c r="Y54" s="11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</row>
    <row r="55" spans="1:128" ht="18.75">
      <c r="A55" s="14"/>
      <c r="B55" s="14" t="s">
        <v>41</v>
      </c>
      <c r="C55" s="14"/>
      <c r="D55" s="14"/>
      <c r="E55" s="16">
        <f aca="true" t="shared" si="16" ref="E55:V55">E51-E53</f>
        <v>3643504.6155651</v>
      </c>
      <c r="F55" s="16">
        <f t="shared" si="16"/>
        <v>3525835.6946861353</v>
      </c>
      <c r="G55" s="16">
        <f t="shared" si="16"/>
        <v>3401471.4122091574</v>
      </c>
      <c r="H55" s="16">
        <f t="shared" si="16"/>
        <v>3270030.8020592397</v>
      </c>
      <c r="I55" s="16">
        <f t="shared" si="16"/>
        <v>3131111.2211917914</v>
      </c>
      <c r="J55" s="16">
        <f t="shared" si="16"/>
        <v>2984287.116172985</v>
      </c>
      <c r="K55" s="16">
        <f t="shared" si="16"/>
        <v>2829108.7195786093</v>
      </c>
      <c r="L55" s="16">
        <f t="shared" si="16"/>
        <v>2665100.672218013</v>
      </c>
      <c r="M55" s="16">
        <f t="shared" si="16"/>
        <v>2491760.5669625993</v>
      </c>
      <c r="N55" s="16">
        <f t="shared" si="16"/>
        <v>2308557.409718152</v>
      </c>
      <c r="O55" s="16">
        <f t="shared" si="16"/>
        <v>2114929.9928264963</v>
      </c>
      <c r="P55" s="16">
        <f t="shared" si="16"/>
        <v>1910285.175913705</v>
      </c>
      <c r="Q55" s="16">
        <f t="shared" si="16"/>
        <v>1693996.068918576</v>
      </c>
      <c r="R55" s="16">
        <f t="shared" si="16"/>
        <v>1465400.111735424</v>
      </c>
      <c r="S55" s="16">
        <f t="shared" si="16"/>
        <v>1223797.0445885507</v>
      </c>
      <c r="T55" s="16">
        <f t="shared" si="16"/>
        <v>968446.7629210204</v>
      </c>
      <c r="U55" s="16">
        <f t="shared" si="16"/>
        <v>698567.0502266076</v>
      </c>
      <c r="V55" s="16">
        <f t="shared" si="16"/>
        <v>413331.18187988264</v>
      </c>
      <c r="W55" s="16"/>
      <c r="X55" s="16"/>
      <c r="Y55" s="11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</row>
    <row r="56" spans="1:128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</row>
    <row r="57" spans="1:128" ht="15.75">
      <c r="A57" s="2"/>
      <c r="B57" s="2"/>
      <c r="C57" s="2"/>
      <c r="D57" s="6" t="s">
        <v>42</v>
      </c>
      <c r="E57" s="3">
        <f>SUM(E52:X52)</f>
        <v>2490714.472458404</v>
      </c>
      <c r="F57" s="6" t="s">
        <v>43</v>
      </c>
      <c r="G57" s="7">
        <f>E57/E51</f>
        <v>0.7225011091506471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</row>
    <row r="58" spans="1:128" ht="15.75">
      <c r="A58" s="2"/>
      <c r="B58" s="2"/>
      <c r="C58" s="2"/>
      <c r="D58" s="6" t="s">
        <v>44</v>
      </c>
      <c r="E58" s="3">
        <f>SUM(E54:X54)</f>
        <v>5524733.669578522</v>
      </c>
      <c r="F58" s="2"/>
      <c r="G58" s="7">
        <f>E58/E51</f>
        <v>1.6026028869108238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</row>
    <row r="59" spans="1:128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</row>
    <row r="60" spans="1:128" ht="15.75">
      <c r="A60" s="2"/>
      <c r="B60" s="8"/>
      <c r="C60" s="9" t="s">
        <v>53</v>
      </c>
      <c r="D60" s="10"/>
      <c r="E60" s="2"/>
      <c r="F60" s="2"/>
      <c r="G60" s="2" t="s">
        <v>55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</row>
    <row r="61" spans="1:128" ht="15.75">
      <c r="A61" s="2"/>
      <c r="B61" s="8"/>
      <c r="C61" s="2" t="s">
        <v>52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</row>
    <row r="62" spans="1:128" ht="15.75">
      <c r="A62" s="2"/>
      <c r="B62" s="2"/>
      <c r="C62" s="2"/>
      <c r="D62" s="2"/>
      <c r="E62" s="2"/>
      <c r="F62" s="2"/>
      <c r="G62" s="13" t="s">
        <v>54</v>
      </c>
      <c r="H62" s="12"/>
      <c r="I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5"/>
      <c r="Z62" s="5"/>
      <c r="AA62" s="5"/>
      <c r="AB62" s="5"/>
      <c r="AC62" s="5"/>
      <c r="AD62" s="5"/>
      <c r="AE62" s="5"/>
      <c r="AF62" s="5"/>
      <c r="AG62" s="83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</row>
    <row r="63" spans="2:128" ht="15">
      <c r="B63" t="s">
        <v>58</v>
      </c>
      <c r="I63" t="s">
        <v>61</v>
      </c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</row>
    <row r="64" spans="2:128" ht="15">
      <c r="B64" t="s">
        <v>60</v>
      </c>
      <c r="I64" t="s">
        <v>62</v>
      </c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</row>
    <row r="65" spans="25:128" ht="15"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</row>
    <row r="66" spans="25:128" ht="15"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</row>
    <row r="67" spans="25:128" ht="15"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</row>
    <row r="68" spans="25:128" ht="15"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</row>
    <row r="69" spans="25:128" ht="15"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</row>
    <row r="70" spans="25:128" ht="15"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</row>
    <row r="71" spans="25:128" ht="15"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</row>
    <row r="72" spans="25:128" ht="15"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</row>
    <row r="73" spans="25:128" ht="15"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</row>
    <row r="74" spans="25:128" ht="15"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</row>
    <row r="75" spans="25:128" ht="15"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</row>
    <row r="76" spans="25:128" ht="15"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</row>
    <row r="77" spans="25:128" ht="15"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</row>
    <row r="78" spans="25:128" ht="15"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</row>
    <row r="79" spans="25:128" ht="15"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</row>
    <row r="80" spans="25:128" ht="15"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</row>
    <row r="81" spans="25:128" ht="15"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</row>
    <row r="82" spans="25:128" ht="15"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</row>
    <row r="83" spans="25:128" ht="15"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</row>
    <row r="84" spans="25:128" ht="15"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</row>
    <row r="85" spans="25:128" ht="15"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</row>
    <row r="86" spans="25:128" ht="15"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</row>
    <row r="87" spans="25:128" ht="15"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</row>
    <row r="88" spans="25:128" ht="15"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</row>
    <row r="89" spans="25:128" ht="15"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</row>
    <row r="90" spans="25:128" ht="15"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</row>
    <row r="91" spans="25:128" ht="15"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</row>
    <row r="92" spans="25:128" ht="15"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</row>
    <row r="93" spans="25:128" ht="15"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</row>
    <row r="94" spans="25:128" ht="15"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</row>
    <row r="95" spans="25:128" ht="15"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</row>
    <row r="96" spans="25:128" ht="15"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</row>
    <row r="97" spans="25:128" ht="15"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</row>
    <row r="98" spans="25:128" ht="15"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</row>
    <row r="99" spans="25:128" ht="15"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</row>
  </sheetData>
  <sheetProtection/>
  <mergeCells count="24">
    <mergeCell ref="C38:D38"/>
    <mergeCell ref="B44:D44"/>
    <mergeCell ref="H44:I44"/>
    <mergeCell ref="C34:D34"/>
    <mergeCell ref="B13:D13"/>
    <mergeCell ref="B28:D28"/>
    <mergeCell ref="B32:D32"/>
    <mergeCell ref="B33:D33"/>
    <mergeCell ref="I4:J4"/>
    <mergeCell ref="B5:C5"/>
    <mergeCell ref="G5:H5"/>
    <mergeCell ref="I5:J5"/>
    <mergeCell ref="B4:C4"/>
    <mergeCell ref="B36:C36"/>
    <mergeCell ref="K1:M1"/>
    <mergeCell ref="B1:C1"/>
    <mergeCell ref="D1:H1"/>
    <mergeCell ref="B3:E3"/>
    <mergeCell ref="I9:I10"/>
    <mergeCell ref="B10:C10"/>
    <mergeCell ref="G4:H4"/>
    <mergeCell ref="B7:C7"/>
    <mergeCell ref="B9:C9"/>
    <mergeCell ref="G9:H1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8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BASKET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IEPM</cp:lastModifiedBy>
  <cp:lastPrinted>2016-01-05T16:29:37Z</cp:lastPrinted>
  <dcterms:created xsi:type="dcterms:W3CDTF">2010-02-03T16:10:16Z</dcterms:created>
  <dcterms:modified xsi:type="dcterms:W3CDTF">2016-11-20T20:28:48Z</dcterms:modified>
  <cp:category/>
  <cp:version/>
  <cp:contentType/>
  <cp:contentStatus/>
</cp:coreProperties>
</file>